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1" i="1"/>
  <c r="F70" i="1"/>
  <c r="F69" i="1"/>
  <c r="F66" i="1"/>
  <c r="F65" i="1"/>
  <c r="F64" i="1"/>
  <c r="F61" i="1"/>
  <c r="F62" i="1" s="1"/>
  <c r="F60" i="1"/>
  <c r="M54" i="1"/>
  <c r="F50" i="1"/>
  <c r="F48" i="1"/>
  <c r="F47" i="1"/>
  <c r="F46" i="1"/>
  <c r="F52" i="1" s="1"/>
  <c r="F45" i="1"/>
  <c r="F44" i="1"/>
  <c r="F43" i="1"/>
  <c r="F42" i="1"/>
  <c r="F39" i="1"/>
  <c r="F38" i="1"/>
  <c r="F37" i="1"/>
  <c r="F36" i="1"/>
  <c r="F33" i="1"/>
  <c r="F34" i="1" s="1"/>
  <c r="F31" i="1"/>
  <c r="F30" i="1"/>
  <c r="F28" i="1"/>
  <c r="F27" i="1"/>
  <c r="F20" i="1"/>
  <c r="F24" i="1" s="1"/>
  <c r="F17" i="1"/>
  <c r="F25" i="1" s="1"/>
  <c r="F11" i="1"/>
  <c r="F18" i="1" l="1"/>
  <c r="F12" i="1"/>
  <c r="F16" i="1"/>
  <c r="F13" i="1"/>
  <c r="F15" i="1" s="1"/>
  <c r="F53" i="1"/>
  <c r="M33" i="1"/>
  <c r="L35" i="1"/>
  <c r="F22" i="1"/>
  <c r="F40" i="1"/>
  <c r="F63" i="1"/>
  <c r="F23" i="1"/>
  <c r="F51" i="1"/>
  <c r="F14" i="1" l="1"/>
  <c r="M8" i="1"/>
  <c r="M39" i="1"/>
  <c r="L58" i="1"/>
  <c r="L41" i="1" l="1"/>
  <c r="L17" i="1" l="1"/>
  <c r="L80" i="1" l="1"/>
  <c r="O80" i="1" s="1"/>
  <c r="L79" i="1"/>
  <c r="L81" i="1" s="1"/>
  <c r="O81" i="1" s="1"/>
  <c r="O83" i="1" l="1"/>
</calcChain>
</file>

<file path=xl/sharedStrings.xml><?xml version="1.0" encoding="utf-8"?>
<sst xmlns="http://schemas.openxmlformats.org/spreadsheetml/2006/main" count="190" uniqueCount="118">
  <si>
    <t>ხ ა რ ჯ თ ა ღ რ ი ც ვ ხ ვ ა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</si>
  <si>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</si>
  <si>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</si>
  <si>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</si>
  <si>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</si>
  <si>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</si>
  <si>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</si>
  <si>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</si>
  <si>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</si>
  <si>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</si>
  <si>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</si>
  <si>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</si>
  <si>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sportuli moednis liTonis SemoRobvis mowyoba            30,0 X 18,0 + 3,0 X 12,0</t>
  </si>
  <si>
    <t>teritoriis dasufTaveba _ momzadeba samSeneblo samuSaoebs sawarmoeblad</t>
  </si>
  <si>
    <t xml:space="preserve">sportuli moednis liTonis SemoRobvis betonis cokolis mowyoba  </t>
  </si>
  <si>
    <t>1,2,1</t>
  </si>
  <si>
    <t>tranSeas mowyoba betonis cokolis mosawyobad (30,3*2+17,7*2+12,3+2,7*2)g/m</t>
  </si>
  <si>
    <t>g/m</t>
  </si>
  <si>
    <t>0,30*0,15*(30,3*2+17,7*2+12,3+11,7*2)g/m+ 0,4*0,4*0,55*(13+1+5+11+5)c</t>
  </si>
  <si>
    <t>kbm</t>
  </si>
  <si>
    <t>1,2,2</t>
  </si>
  <si>
    <t>betonis cokolis yalibis mowyoba                     (30,3+18,3)*2*0,3+(17,7+27,7)*2*0,3+ (3,0*2+12,3)*0,3+(2,7*2+11,7)+  (0,4+0,4)*2*0,55*35c</t>
  </si>
  <si>
    <t>kvm</t>
  </si>
  <si>
    <t>5,1,22</t>
  </si>
  <si>
    <t>xis masala  1/3</t>
  </si>
  <si>
    <t>1,9,2</t>
  </si>
  <si>
    <t>lursmani</t>
  </si>
  <si>
    <t>kg</t>
  </si>
  <si>
    <t>1,3,3</t>
  </si>
  <si>
    <t>adg saw fasi</t>
  </si>
  <si>
    <t>sportuli moednis betonis cikolis mowyoba   0,30*0,30*(30,3*2+17,7*2+12,3+2,7*2)g/m+  0,4*0,4*0,55*35c   b.25</t>
  </si>
  <si>
    <t>SemoRobvis liTonis dgarebis mowyoba 80X80X3 kv milebiT  (13+1+5+11+5)=35c (daWra montJi)</t>
  </si>
  <si>
    <t>c</t>
  </si>
  <si>
    <t>2,2,83</t>
  </si>
  <si>
    <t>kv mili 80X80X3                          35c X (4,10+0,15+0,70)</t>
  </si>
  <si>
    <t xml:space="preserve">kuTxovanebSi Casmuli liTonis badis damzadeba </t>
  </si>
  <si>
    <r>
      <rPr>
        <b/>
        <sz val="12"/>
        <color theme="1"/>
        <rFont val="AcadNusx"/>
      </rPr>
      <t>3,0X2,0</t>
    </r>
    <r>
      <rPr>
        <sz val="12"/>
        <color theme="1"/>
        <rFont val="AcadNusx"/>
      </rPr>
      <t xml:space="preserve">   33*2+1=67c</t>
    </r>
  </si>
  <si>
    <t>1,5X2,0</t>
  </si>
  <si>
    <t>1,3,48</t>
  </si>
  <si>
    <r>
      <t>kuTxovana #65X</t>
    </r>
    <r>
      <rPr>
        <sz val="12"/>
        <color rgb="FFFF0000"/>
        <rFont val="AcadNusx"/>
      </rPr>
      <t>5</t>
    </r>
    <r>
      <rPr>
        <sz val="12"/>
        <color theme="1"/>
        <rFont val="AcadNusx"/>
      </rPr>
      <t xml:space="preserve"> (3,0+2,0)*2*67c+(1,5+2,0)*2*2c</t>
    </r>
  </si>
  <si>
    <t>liTonis bade 50X50 ujrediT 2,5mm sisqis moTuTiebuli mavTuli 2,0*3,0*67+1,5*2,0*2</t>
  </si>
  <si>
    <t>1,1,14</t>
  </si>
  <si>
    <t>katanka Ф8 АI (3,0+2,0)*2*67c+(1,5+2,0)*2*2c</t>
  </si>
  <si>
    <t>1,6,59</t>
  </si>
  <si>
    <t>zolovana #40X4 0,25*3*2*35c</t>
  </si>
  <si>
    <t>kuTxovanebSi Casmuli liTonis badis seqciebis montaJi liTonis kv milebis dgarebze</t>
  </si>
  <si>
    <t>3,0X2,0 33*2+1=67c</t>
  </si>
  <si>
    <t>sportuli moedansa da tribunas Soris liTonis moajiris mowyoba</t>
  </si>
  <si>
    <t>2,2,52</t>
  </si>
  <si>
    <t>kv mili 40X80X2                           5,0*2+1,1*6c</t>
  </si>
  <si>
    <t>2,2,19</t>
  </si>
  <si>
    <t>kv mili 20X40X2                      5,0*2*2</t>
  </si>
  <si>
    <t>1,9,16</t>
  </si>
  <si>
    <t>eleqtrodi</t>
  </si>
  <si>
    <t>sportuli moednis SemoRobvis liTonis konstruqciis SeRebva antikoroziuli zeTis sarebaviT (0,08+0,08)*2*173,25 +                  0,065*4*684 +0,04*2*52,5 + (0,04+0,08)*2*16,6 +                   (0,02+0,04)*2*20,0 +            3,0*2,0*67+1,5*2,0*2</t>
  </si>
  <si>
    <t>4,2,28</t>
  </si>
  <si>
    <t>antikoroziuli zeTis saRebavi</t>
  </si>
  <si>
    <t>sportuli moednis fenilis mowyoba</t>
  </si>
  <si>
    <t xml:space="preserve">sportuli moednis planireba, horizontaluri moSandakeba 30,0*18,0+3,0*12,0 </t>
  </si>
  <si>
    <t>4,1,209</t>
  </si>
  <si>
    <r>
      <t xml:space="preserve">Sebenis safuZvlis mowyoba </t>
    </r>
    <r>
      <rPr>
        <sz val="12"/>
        <color theme="1"/>
        <rFont val="Calibri"/>
        <family val="2"/>
        <charset val="204"/>
        <scheme val="minor"/>
      </rPr>
      <t>t</t>
    </r>
    <r>
      <rPr>
        <sz val="12"/>
        <color theme="1"/>
        <rFont val="AcadNusx"/>
      </rPr>
      <t>=10sm   (17,70*29,7+2,7*11,7)*0,10</t>
    </r>
  </si>
  <si>
    <r>
      <t xml:space="preserve">sportuli moednis betonis fenilis mowyoba b.25  (17,70*29,7+2,7*11,7)*0,12 </t>
    </r>
    <r>
      <rPr>
        <sz val="12"/>
        <color theme="1"/>
        <rFont val="Calibri"/>
        <family val="2"/>
        <charset val="204"/>
        <scheme val="minor"/>
      </rPr>
      <t>t</t>
    </r>
    <r>
      <rPr>
        <sz val="12"/>
        <color theme="1"/>
        <rFont val="AcadNusx"/>
      </rPr>
      <t>=12sm</t>
    </r>
  </si>
  <si>
    <t>xelovnuri balaxis safaris mowyoba 18,0*30,0+3,0*12,0</t>
  </si>
  <si>
    <t>4,7,9</t>
  </si>
  <si>
    <t xml:space="preserve">xelovnuri balaxis safari      26mm sisqis </t>
  </si>
  <si>
    <t>mayurebelTa tribunis mowyoba liTonis konstruqciiT                 (mocemuli eskizis mixedviT)</t>
  </si>
  <si>
    <t>kv mili 40X80X2  13c*(0,75+0,65+0,75)+2c*5,0*2c</t>
  </si>
  <si>
    <t>2,2,13</t>
  </si>
  <si>
    <t>kv mili 20X20X2                    (2+2+2)c*12,0</t>
  </si>
  <si>
    <t>2,2,16</t>
  </si>
  <si>
    <t>kv mili 20X30X2                      0,30*21c*2*2c</t>
  </si>
  <si>
    <t>1,6,28</t>
  </si>
  <si>
    <t>foladis furceli 2mm          (0,03+0,35+0,03)*5,0*2c+(0,5*0,75*3c)</t>
  </si>
  <si>
    <t>xis reikebi  6X4                 5,0*4c*2c*2c</t>
  </si>
  <si>
    <t>0,06*0,04*5,0*4c*2c*2c</t>
  </si>
  <si>
    <t>WanWiki da qanCi</t>
  </si>
  <si>
    <t>tribunis liTonis konstruqciebis SeRebva antikoroziuli zeTis saRebaviT  (0,04+0,08)*2*47,95 +(0,02+0,02)*2*72 +(0,02+0,03)*2*25,2 +5,225*2</t>
  </si>
  <si>
    <t>dasajdomebebis xis reikebis SeRebva zeTis saRebaviT  (0,04+0,06)*2*80,0</t>
  </si>
  <si>
    <t>4,2,20</t>
  </si>
  <si>
    <t>zeTis saRebavi</t>
  </si>
  <si>
    <t>moednis daxazva</t>
  </si>
  <si>
    <t>lari</t>
  </si>
  <si>
    <t>sportuli saqonlis  baza</t>
  </si>
  <si>
    <t xml:space="preserve">kalaTburTis farebi  SeZena montaJi  </t>
  </si>
  <si>
    <t>kompleqti</t>
  </si>
  <si>
    <t>mini fexburTis karebebis SeZena montaJi (badiT)</t>
  </si>
  <si>
    <t>frenburTis badis SeZena mowyoba</t>
  </si>
  <si>
    <t>sportuli moednis gare ganaTebis mowyoba</t>
  </si>
  <si>
    <t>proJeqtoris liTonis axali dgarebis mowyoba</t>
  </si>
  <si>
    <t>qvabulis mowyoba liTonis dgarebis montaJisaTvis 0,5*0,5*1,0*4c</t>
  </si>
  <si>
    <t>betonis saZirkvlis yalibis mowyoba (0,5+0,5)*2*1,0*4</t>
  </si>
  <si>
    <t>betonis saZirkvlis mowyoba b.15  0,5*0,5*1,0*4</t>
  </si>
  <si>
    <t>liTonis dgarebis montaJi</t>
  </si>
  <si>
    <t>2,1,82</t>
  </si>
  <si>
    <t>foladis mili d-114X3,5  (4,5+1,0)*4</t>
  </si>
  <si>
    <t>ganaTebis proJeqtori (kronSteiniT metalogalogenis 150vt naturiT)</t>
  </si>
  <si>
    <t>aqsesuarebi</t>
  </si>
  <si>
    <t>Zabvis mimwodebeli, mCxvletavi kontaqtori</t>
  </si>
  <si>
    <t>sadenis damWimi (Sualeduri)</t>
  </si>
  <si>
    <t>ankeruli damWimi</t>
  </si>
  <si>
    <t>СИП sadeni 2*10</t>
  </si>
  <si>
    <t>kauWi</t>
  </si>
  <si>
    <t>sadeni 2*2,5  2,0*4</t>
  </si>
  <si>
    <t>avtomaturi amomrTveli 10a</t>
  </si>
  <si>
    <t>damcavi YyuTi</t>
  </si>
  <si>
    <t>avto kalaTis momsaxureba</t>
  </si>
  <si>
    <t>dRe</t>
  </si>
  <si>
    <t>ს უ ლ     დანახარჯები</t>
  </si>
  <si>
    <t>ტრანსპორტის ხარჯი              (მასალის ღირებულებიდან)</t>
  </si>
  <si>
    <t>munic</t>
  </si>
  <si>
    <t>MC</t>
  </si>
  <si>
    <t xml:space="preserve">ზედნადები ხარჯები  </t>
  </si>
  <si>
    <t xml:space="preserve">გეგმიური დაგროვება  </t>
  </si>
  <si>
    <t>დღგ 18%</t>
  </si>
  <si>
    <t>სულ ხარჯთაღრიცხვით</t>
  </si>
  <si>
    <t>%</t>
  </si>
  <si>
    <t>Semsrulebeli :</t>
  </si>
  <si>
    <t>borjomis municipalitetis sofel ციხისჯვარში xelovnurbalaxiani sportuli moednis mowyobis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</si>
</sst>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0"/>
      <name val="AcadNusx"/>
    </font>
    <font>
      <sz val="12"/>
      <name val="AcadNusx"/>
    </font>
    <font>
      <sz val="12"/>
      <color rgb="FFFF0000"/>
      <name val="AcadNusx"/>
    </font>
    <font>
      <sz val="12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2"/>
      <name val="AcadNusx"/>
    </font>
    <font>
      <b/>
      <sz val="12"/>
      <color theme="1"/>
      <name val="Calibri"/>
      <family val="2"/>
      <charset val="204"/>
      <scheme val="minor"/>
    </font>
    <font>
      <b/>
      <sz val="18"/>
      <color rgb="FFFF0000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AEE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textRotation="90" wrapText="1"/>
    </xf>
    <xf numFmtId="0" fontId="2" fillId="2" borderId="0" xfId="0" applyNumberFormat="1" applyFont="1" applyFill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textRotation="90" wrapText="1"/>
    </xf>
    <xf numFmtId="0" fontId="2" fillId="2" borderId="4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13" workbookViewId="0">
      <selection activeCell="A3" sqref="A3:K3"/>
    </sheetView>
  </sheetViews>
  <sheetFormatPr defaultColWidth="8.85546875" defaultRowHeight="16.5" x14ac:dyDescent="0.25"/>
  <cols>
    <col min="1" max="1" width="4.5703125" style="2" customWidth="1"/>
    <col min="2" max="2" width="10.7109375" style="2" customWidth="1"/>
    <col min="3" max="3" width="40.28515625" style="2" customWidth="1"/>
    <col min="4" max="4" width="6.42578125" style="2" customWidth="1"/>
    <col min="5" max="5" width="9.5703125" style="2" customWidth="1"/>
    <col min="6" max="6" width="12.28515625" style="2" customWidth="1"/>
    <col min="7" max="7" width="7.7109375" style="2" customWidth="1"/>
    <col min="8" max="8" width="12" style="2" customWidth="1"/>
    <col min="9" max="9" width="7.140625" style="2" customWidth="1"/>
    <col min="10" max="10" width="11.42578125" style="2" customWidth="1"/>
    <col min="11" max="11" width="14" style="2" customWidth="1"/>
    <col min="12" max="13" width="7.42578125" style="1" hidden="1" customWidth="1"/>
    <col min="14" max="14" width="8.85546875" style="2" hidden="1" customWidth="1"/>
    <col min="15" max="15" width="13.7109375" style="2" hidden="1" customWidth="1"/>
    <col min="16" max="16" width="8.85546875" style="2" hidden="1" customWidth="1"/>
    <col min="17" max="16384" width="8.85546875" style="2"/>
  </cols>
  <sheetData>
    <row r="1" spans="1:13" ht="51.75" customHeight="1" x14ac:dyDescent="0.25">
      <c r="A1" s="50" t="s">
        <v>117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13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3" x14ac:dyDescent="0.25">
      <c r="A5" s="44" t="s">
        <v>1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  <c r="G5" s="51" t="s">
        <v>7</v>
      </c>
      <c r="H5" s="52"/>
      <c r="I5" s="51" t="s">
        <v>8</v>
      </c>
      <c r="J5" s="52"/>
      <c r="K5" s="44" t="s">
        <v>9</v>
      </c>
    </row>
    <row r="6" spans="1:13" ht="69.75" customHeight="1" x14ac:dyDescent="0.25">
      <c r="A6" s="44"/>
      <c r="B6" s="44"/>
      <c r="C6" s="44"/>
      <c r="D6" s="44"/>
      <c r="E6" s="44"/>
      <c r="F6" s="44"/>
      <c r="G6" s="4" t="s">
        <v>10</v>
      </c>
      <c r="H6" s="4" t="s">
        <v>11</v>
      </c>
      <c r="I6" s="4" t="s">
        <v>10</v>
      </c>
      <c r="J6" s="4" t="s">
        <v>11</v>
      </c>
      <c r="K6" s="44"/>
    </row>
    <row r="7" spans="1:13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3" ht="49.5" x14ac:dyDescent="0.25">
      <c r="A8" s="4">
        <v>1</v>
      </c>
      <c r="B8" s="4"/>
      <c r="C8" s="5" t="s">
        <v>12</v>
      </c>
      <c r="D8" s="6"/>
      <c r="E8" s="4"/>
      <c r="F8" s="4"/>
      <c r="G8" s="4"/>
      <c r="H8" s="7"/>
      <c r="I8" s="4"/>
      <c r="J8" s="7"/>
      <c r="K8" s="7"/>
      <c r="M8" s="45">
        <f>K8+K9+K10+K11+K12+K13+K14+K15+K16</f>
        <v>0</v>
      </c>
    </row>
    <row r="9" spans="1:13" ht="49.5" x14ac:dyDescent="0.25">
      <c r="A9" s="4">
        <v>1.1000000000000001</v>
      </c>
      <c r="B9" s="4"/>
      <c r="C9" s="4" t="s">
        <v>13</v>
      </c>
      <c r="D9" s="6"/>
      <c r="E9" s="4"/>
      <c r="F9" s="8">
        <v>1</v>
      </c>
      <c r="G9" s="4"/>
      <c r="H9" s="7"/>
      <c r="I9" s="4"/>
      <c r="J9" s="7"/>
      <c r="K9" s="7"/>
      <c r="M9" s="46"/>
    </row>
    <row r="10" spans="1:13" ht="49.5" x14ac:dyDescent="0.25">
      <c r="A10" s="4">
        <v>1.2</v>
      </c>
      <c r="B10" s="4"/>
      <c r="C10" s="4" t="s">
        <v>14</v>
      </c>
      <c r="D10" s="6"/>
      <c r="E10" s="4"/>
      <c r="F10" s="4"/>
      <c r="G10" s="4"/>
      <c r="H10" s="7"/>
      <c r="I10" s="4"/>
      <c r="J10" s="7"/>
      <c r="K10" s="7"/>
      <c r="M10" s="46"/>
    </row>
    <row r="11" spans="1:13" ht="49.5" x14ac:dyDescent="0.25">
      <c r="A11" s="47" t="s">
        <v>15</v>
      </c>
      <c r="B11" s="47"/>
      <c r="C11" s="4" t="s">
        <v>16</v>
      </c>
      <c r="D11" s="6" t="s">
        <v>17</v>
      </c>
      <c r="E11" s="4"/>
      <c r="F11" s="4">
        <f>(30.3*2+17.7*2+12.3+2.7*2)</f>
        <v>113.7</v>
      </c>
      <c r="G11" s="4"/>
      <c r="H11" s="7"/>
      <c r="I11" s="4"/>
      <c r="J11" s="7"/>
      <c r="K11" s="7"/>
      <c r="M11" s="46"/>
    </row>
    <row r="12" spans="1:13" ht="33" x14ac:dyDescent="0.25">
      <c r="A12" s="48"/>
      <c r="B12" s="48"/>
      <c r="C12" s="4" t="s">
        <v>18</v>
      </c>
      <c r="D12" s="6" t="s">
        <v>19</v>
      </c>
      <c r="E12" s="4"/>
      <c r="F12" s="7">
        <f>0.3*0.15*(30.3*2+17.7*2+12.3+2.7*2)+ 0.4*0.4*0.55*F17</f>
        <v>8.1965000000000003</v>
      </c>
      <c r="G12" s="4"/>
      <c r="H12" s="7"/>
      <c r="I12" s="4"/>
      <c r="J12" s="7"/>
      <c r="K12" s="7"/>
      <c r="M12" s="46"/>
    </row>
    <row r="13" spans="1:13" ht="82.5" x14ac:dyDescent="0.25">
      <c r="A13" s="4" t="s">
        <v>20</v>
      </c>
      <c r="B13" s="4"/>
      <c r="C13" s="4" t="s">
        <v>21</v>
      </c>
      <c r="D13" s="6" t="s">
        <v>22</v>
      </c>
      <c r="E13" s="4"/>
      <c r="F13" s="4">
        <f>(30.3+18.3)*2*0.3+(17.7+27.7)*2*0.3+ (3*2+12.3)*0.3+(2.7*2+11.7)+  (0.4+0.4)*2*0.55*F17</f>
        <v>109.79000000000002</v>
      </c>
      <c r="G13" s="4"/>
      <c r="H13" s="7"/>
      <c r="I13" s="4"/>
      <c r="J13" s="7"/>
      <c r="K13" s="7"/>
      <c r="M13" s="46"/>
    </row>
    <row r="14" spans="1:13" x14ac:dyDescent="0.25">
      <c r="A14" s="4"/>
      <c r="B14" s="4" t="s">
        <v>23</v>
      </c>
      <c r="C14" s="4" t="s">
        <v>24</v>
      </c>
      <c r="D14" s="6" t="s">
        <v>19</v>
      </c>
      <c r="E14" s="4">
        <v>4.7E-2</v>
      </c>
      <c r="F14" s="7">
        <f>F13*E14/3</f>
        <v>1.7200433333333336</v>
      </c>
      <c r="G14" s="9"/>
      <c r="H14" s="7"/>
      <c r="I14" s="4"/>
      <c r="J14" s="7"/>
      <c r="K14" s="7"/>
      <c r="M14" s="46"/>
    </row>
    <row r="15" spans="1:13" x14ac:dyDescent="0.25">
      <c r="A15" s="4"/>
      <c r="B15" s="4" t="s">
        <v>25</v>
      </c>
      <c r="C15" s="4" t="s">
        <v>26</v>
      </c>
      <c r="D15" s="6" t="s">
        <v>27</v>
      </c>
      <c r="E15" s="4">
        <v>0.222</v>
      </c>
      <c r="F15" s="7">
        <f>F13*E15</f>
        <v>24.373380000000004</v>
      </c>
      <c r="G15" s="4"/>
      <c r="H15" s="7"/>
      <c r="I15" s="4"/>
      <c r="J15" s="7"/>
      <c r="K15" s="7"/>
      <c r="M15" s="46"/>
    </row>
    <row r="16" spans="1:13" ht="66" x14ac:dyDescent="0.25">
      <c r="A16" s="4" t="s">
        <v>28</v>
      </c>
      <c r="B16" s="4" t="s">
        <v>29</v>
      </c>
      <c r="C16" s="4" t="s">
        <v>30</v>
      </c>
      <c r="D16" s="6" t="s">
        <v>19</v>
      </c>
      <c r="E16" s="4">
        <v>1.02</v>
      </c>
      <c r="F16" s="7">
        <f>(0.3*0.3*(30.3*2+17.7*2+12.3+2.7*2)+  0.4*0.4*0.55*F17)*E16</f>
        <v>13.579260000000003</v>
      </c>
      <c r="G16" s="4"/>
      <c r="H16" s="7"/>
      <c r="I16" s="4"/>
      <c r="J16" s="7"/>
      <c r="K16" s="7"/>
      <c r="M16" s="46"/>
    </row>
    <row r="17" spans="1:12" ht="49.5" x14ac:dyDescent="0.25">
      <c r="A17" s="4">
        <v>2.1</v>
      </c>
      <c r="B17" s="4"/>
      <c r="C17" s="4" t="s">
        <v>31</v>
      </c>
      <c r="D17" s="6" t="s">
        <v>32</v>
      </c>
      <c r="E17" s="4"/>
      <c r="F17" s="4">
        <f>13+1+5+11+5</f>
        <v>35</v>
      </c>
      <c r="G17" s="4"/>
      <c r="H17" s="7"/>
      <c r="I17" s="4"/>
      <c r="J17" s="7"/>
      <c r="K17" s="7"/>
      <c r="L17" s="49">
        <f>K17+K18+K19+K20+K21+K22+K23+K24+K25+K26+K27+K28+K29+K30+K31+K32</f>
        <v>0</v>
      </c>
    </row>
    <row r="18" spans="1:12" ht="33" x14ac:dyDescent="0.25">
      <c r="A18" s="4"/>
      <c r="B18" s="4" t="s">
        <v>33</v>
      </c>
      <c r="C18" s="4" t="s">
        <v>34</v>
      </c>
      <c r="D18" s="6" t="s">
        <v>17</v>
      </c>
      <c r="E18" s="4">
        <v>1.05</v>
      </c>
      <c r="F18" s="7">
        <f>(F17* (4.1+0.15+0.7))*E18</f>
        <v>181.91249999999999</v>
      </c>
      <c r="G18" s="4"/>
      <c r="H18" s="7"/>
      <c r="I18" s="4"/>
      <c r="J18" s="7"/>
      <c r="K18" s="7"/>
      <c r="L18" s="49"/>
    </row>
    <row r="19" spans="1:12" ht="33" x14ac:dyDescent="0.25">
      <c r="A19" s="4">
        <v>2.2000000000000002</v>
      </c>
      <c r="B19" s="4"/>
      <c r="C19" s="4" t="s">
        <v>35</v>
      </c>
      <c r="D19" s="6"/>
      <c r="E19" s="4"/>
      <c r="F19" s="4"/>
      <c r="G19" s="4"/>
      <c r="H19" s="7"/>
      <c r="I19" s="4"/>
      <c r="J19" s="7"/>
      <c r="K19" s="7"/>
      <c r="L19" s="49"/>
    </row>
    <row r="20" spans="1:12" x14ac:dyDescent="0.25">
      <c r="A20" s="4"/>
      <c r="B20" s="4"/>
      <c r="C20" s="4" t="s">
        <v>36</v>
      </c>
      <c r="D20" s="6" t="s">
        <v>32</v>
      </c>
      <c r="E20" s="4"/>
      <c r="F20" s="4">
        <f>33*2+1</f>
        <v>67</v>
      </c>
      <c r="G20" s="4"/>
      <c r="H20" s="7"/>
      <c r="I20" s="10"/>
      <c r="J20" s="7"/>
      <c r="K20" s="7"/>
      <c r="L20" s="49"/>
    </row>
    <row r="21" spans="1:12" x14ac:dyDescent="0.25">
      <c r="A21" s="4"/>
      <c r="B21" s="4"/>
      <c r="C21" s="5" t="s">
        <v>37</v>
      </c>
      <c r="D21" s="6" t="s">
        <v>32</v>
      </c>
      <c r="E21" s="4"/>
      <c r="F21" s="4">
        <v>2</v>
      </c>
      <c r="G21" s="4"/>
      <c r="H21" s="7"/>
      <c r="I21" s="10"/>
      <c r="J21" s="7"/>
      <c r="K21" s="7"/>
      <c r="L21" s="49"/>
    </row>
    <row r="22" spans="1:12" ht="33" x14ac:dyDescent="0.25">
      <c r="A22" s="4"/>
      <c r="B22" s="4" t="s">
        <v>38</v>
      </c>
      <c r="C22" s="4" t="s">
        <v>39</v>
      </c>
      <c r="D22" s="6" t="s">
        <v>17</v>
      </c>
      <c r="E22" s="4">
        <v>1.05</v>
      </c>
      <c r="F22" s="4">
        <f>((3+2)*2*F20+(1.5+2)*2*F21)*E22</f>
        <v>718.2</v>
      </c>
      <c r="G22" s="4"/>
      <c r="H22" s="7"/>
      <c r="I22" s="10"/>
      <c r="J22" s="7"/>
      <c r="K22" s="7"/>
      <c r="L22" s="49"/>
    </row>
    <row r="23" spans="1:12" ht="49.5" x14ac:dyDescent="0.25">
      <c r="A23" s="4"/>
      <c r="B23" s="4" t="s">
        <v>29</v>
      </c>
      <c r="C23" s="4" t="s">
        <v>40</v>
      </c>
      <c r="D23" s="6" t="s">
        <v>22</v>
      </c>
      <c r="E23" s="4">
        <v>1.05</v>
      </c>
      <c r="F23" s="4">
        <f>(2*3*F20+1.5*2*F21)*E23</f>
        <v>428.40000000000003</v>
      </c>
      <c r="G23" s="9"/>
      <c r="H23" s="7"/>
      <c r="I23" s="10"/>
      <c r="J23" s="7"/>
      <c r="K23" s="7"/>
      <c r="L23" s="49"/>
    </row>
    <row r="24" spans="1:12" ht="33" x14ac:dyDescent="0.25">
      <c r="A24" s="4"/>
      <c r="B24" s="4" t="s">
        <v>41</v>
      </c>
      <c r="C24" s="4" t="s">
        <v>42</v>
      </c>
      <c r="D24" s="6" t="s">
        <v>17</v>
      </c>
      <c r="E24" s="4">
        <v>1.03</v>
      </c>
      <c r="F24" s="4">
        <f>((3+2)*2*F20+(1.5+2)*2*F21)*E24</f>
        <v>704.52</v>
      </c>
      <c r="G24" s="4"/>
      <c r="H24" s="7"/>
      <c r="I24" s="10"/>
      <c r="J24" s="7"/>
      <c r="K24" s="7"/>
      <c r="L24" s="49"/>
    </row>
    <row r="25" spans="1:12" x14ac:dyDescent="0.25">
      <c r="A25" s="4"/>
      <c r="B25" s="4" t="s">
        <v>43</v>
      </c>
      <c r="C25" s="4" t="s">
        <v>44</v>
      </c>
      <c r="D25" s="6" t="s">
        <v>17</v>
      </c>
      <c r="E25" s="4">
        <v>1.05</v>
      </c>
      <c r="F25" s="4">
        <f>0.25*3*2*F17</f>
        <v>52.5</v>
      </c>
      <c r="G25" s="4"/>
      <c r="H25" s="7"/>
      <c r="I25" s="10"/>
      <c r="J25" s="7"/>
      <c r="K25" s="7"/>
      <c r="L25" s="49"/>
    </row>
    <row r="26" spans="1:12" ht="49.5" x14ac:dyDescent="0.25">
      <c r="A26" s="4">
        <v>2.2999999999999998</v>
      </c>
      <c r="B26" s="4"/>
      <c r="C26" s="4" t="s">
        <v>45</v>
      </c>
      <c r="D26" s="6"/>
      <c r="E26" s="4"/>
      <c r="F26" s="4"/>
      <c r="G26" s="4"/>
      <c r="H26" s="7"/>
      <c r="I26" s="10"/>
      <c r="J26" s="7"/>
      <c r="K26" s="7"/>
      <c r="L26" s="49"/>
    </row>
    <row r="27" spans="1:12" x14ac:dyDescent="0.25">
      <c r="A27" s="4"/>
      <c r="B27" s="4"/>
      <c r="C27" s="4" t="s">
        <v>46</v>
      </c>
      <c r="D27" s="6" t="s">
        <v>32</v>
      </c>
      <c r="E27" s="4"/>
      <c r="F27" s="4">
        <f>F20</f>
        <v>67</v>
      </c>
      <c r="G27" s="4"/>
      <c r="H27" s="7"/>
      <c r="I27" s="10"/>
      <c r="J27" s="7"/>
      <c r="K27" s="7"/>
      <c r="L27" s="49"/>
    </row>
    <row r="28" spans="1:12" x14ac:dyDescent="0.25">
      <c r="A28" s="4"/>
      <c r="B28" s="4"/>
      <c r="C28" s="4" t="s">
        <v>37</v>
      </c>
      <c r="D28" s="6" t="s">
        <v>32</v>
      </c>
      <c r="E28" s="4"/>
      <c r="F28" s="4">
        <f>F21</f>
        <v>2</v>
      </c>
      <c r="G28" s="4"/>
      <c r="H28" s="7"/>
      <c r="I28" s="10"/>
      <c r="J28" s="7"/>
      <c r="K28" s="7"/>
      <c r="L28" s="49"/>
    </row>
    <row r="29" spans="1:12" ht="49.5" x14ac:dyDescent="0.25">
      <c r="A29" s="4">
        <v>2.4</v>
      </c>
      <c r="B29" s="4"/>
      <c r="C29" s="4" t="s">
        <v>47</v>
      </c>
      <c r="D29" s="6" t="s">
        <v>17</v>
      </c>
      <c r="E29" s="4"/>
      <c r="F29" s="4">
        <v>10</v>
      </c>
      <c r="G29" s="4"/>
      <c r="H29" s="7"/>
      <c r="I29" s="10"/>
      <c r="J29" s="7"/>
      <c r="K29" s="7"/>
      <c r="L29" s="49"/>
    </row>
    <row r="30" spans="1:12" ht="33" x14ac:dyDescent="0.25">
      <c r="A30" s="4"/>
      <c r="B30" s="4" t="s">
        <v>48</v>
      </c>
      <c r="C30" s="4" t="s">
        <v>49</v>
      </c>
      <c r="D30" s="6" t="s">
        <v>17</v>
      </c>
      <c r="E30" s="4">
        <v>1.05</v>
      </c>
      <c r="F30" s="4">
        <f>5*2+1.1*6*E30</f>
        <v>16.93</v>
      </c>
      <c r="G30" s="4"/>
      <c r="H30" s="7"/>
      <c r="I30" s="4"/>
      <c r="J30" s="7"/>
      <c r="K30" s="7"/>
      <c r="L30" s="49"/>
    </row>
    <row r="31" spans="1:12" ht="33" x14ac:dyDescent="0.25">
      <c r="A31" s="4"/>
      <c r="B31" s="4" t="s">
        <v>50</v>
      </c>
      <c r="C31" s="4" t="s">
        <v>51</v>
      </c>
      <c r="D31" s="6" t="s">
        <v>17</v>
      </c>
      <c r="E31" s="4">
        <v>1.05</v>
      </c>
      <c r="F31" s="4">
        <f>5*2*2*E31</f>
        <v>21</v>
      </c>
      <c r="G31" s="4"/>
      <c r="H31" s="7"/>
      <c r="I31" s="4"/>
      <c r="J31" s="7"/>
      <c r="K31" s="7"/>
      <c r="L31" s="49"/>
    </row>
    <row r="32" spans="1:12" x14ac:dyDescent="0.25">
      <c r="A32" s="4"/>
      <c r="B32" s="4" t="s">
        <v>52</v>
      </c>
      <c r="C32" s="4" t="s">
        <v>53</v>
      </c>
      <c r="D32" s="6" t="s">
        <v>27</v>
      </c>
      <c r="E32" s="4"/>
      <c r="F32" s="4">
        <v>30</v>
      </c>
      <c r="G32" s="4"/>
      <c r="H32" s="7"/>
      <c r="I32" s="4"/>
      <c r="J32" s="7"/>
      <c r="K32" s="7"/>
      <c r="L32" s="49"/>
    </row>
    <row r="33" spans="1:13" ht="132" x14ac:dyDescent="0.25">
      <c r="A33" s="10">
        <v>2.5</v>
      </c>
      <c r="B33" s="4"/>
      <c r="C33" s="9" t="s">
        <v>54</v>
      </c>
      <c r="D33" s="6" t="s">
        <v>22</v>
      </c>
      <c r="E33" s="4"/>
      <c r="F33" s="7">
        <f>(0.08+0.08)*2*173.25 +                  0.065*4*684 +0.04*2*52.5 + (0.04+0.08)*2*16.6 +                   (0.02+0.04)*2*20 +            3*2*67+1.5*2*2</f>
        <v>651.86400000000003</v>
      </c>
      <c r="G33" s="4"/>
      <c r="H33" s="7"/>
      <c r="I33" s="4"/>
      <c r="J33" s="7"/>
      <c r="K33" s="7"/>
      <c r="L33" s="2"/>
      <c r="M33" s="45">
        <f>K33+K34</f>
        <v>0</v>
      </c>
    </row>
    <row r="34" spans="1:13" x14ac:dyDescent="0.25">
      <c r="A34" s="4"/>
      <c r="B34" s="4" t="s">
        <v>55</v>
      </c>
      <c r="C34" s="4" t="s">
        <v>56</v>
      </c>
      <c r="D34" s="6" t="s">
        <v>27</v>
      </c>
      <c r="E34" s="4">
        <v>0.32</v>
      </c>
      <c r="F34" s="7">
        <f>F33*E34</f>
        <v>208.59648000000001</v>
      </c>
      <c r="G34" s="4"/>
      <c r="H34" s="7"/>
      <c r="I34" s="4"/>
      <c r="J34" s="7"/>
      <c r="K34" s="7"/>
      <c r="L34" s="2"/>
      <c r="M34" s="46"/>
    </row>
    <row r="35" spans="1:13" ht="33" x14ac:dyDescent="0.25">
      <c r="A35" s="4">
        <v>3</v>
      </c>
      <c r="B35" s="4"/>
      <c r="C35" s="5" t="s">
        <v>57</v>
      </c>
      <c r="D35" s="6"/>
      <c r="E35" s="4"/>
      <c r="F35" s="4"/>
      <c r="G35" s="4"/>
      <c r="H35" s="7"/>
      <c r="I35" s="4"/>
      <c r="J35" s="7"/>
      <c r="K35" s="7"/>
      <c r="L35" s="36">
        <f>K35+K36+K37+K38</f>
        <v>0</v>
      </c>
      <c r="M35" s="2"/>
    </row>
    <row r="36" spans="1:13" ht="49.5" x14ac:dyDescent="0.25">
      <c r="A36" s="4">
        <v>3.1</v>
      </c>
      <c r="B36" s="4"/>
      <c r="C36" s="4" t="s">
        <v>58</v>
      </c>
      <c r="D36" s="6" t="s">
        <v>22</v>
      </c>
      <c r="E36" s="4"/>
      <c r="F36" s="4">
        <f>30*18+3*12</f>
        <v>576</v>
      </c>
      <c r="G36" s="4"/>
      <c r="H36" s="7"/>
      <c r="I36" s="4"/>
      <c r="J36" s="7"/>
      <c r="K36" s="7"/>
      <c r="L36" s="36"/>
      <c r="M36" s="2"/>
    </row>
    <row r="37" spans="1:13" ht="33" x14ac:dyDescent="0.25">
      <c r="A37" s="4">
        <v>3.2</v>
      </c>
      <c r="B37" s="4" t="s">
        <v>59</v>
      </c>
      <c r="C37" s="4" t="s">
        <v>60</v>
      </c>
      <c r="D37" s="6" t="s">
        <v>19</v>
      </c>
      <c r="E37" s="4">
        <v>1.22</v>
      </c>
      <c r="F37" s="7">
        <f>(17.7*29.7+2.7*11.7)*0.1*E37</f>
        <v>67.988159999999993</v>
      </c>
      <c r="G37" s="4"/>
      <c r="H37" s="7"/>
      <c r="I37" s="4"/>
      <c r="J37" s="7"/>
      <c r="K37" s="7"/>
      <c r="L37" s="36"/>
      <c r="M37" s="2"/>
    </row>
    <row r="38" spans="1:13" ht="49.5" x14ac:dyDescent="0.25">
      <c r="A38" s="4">
        <v>3.2</v>
      </c>
      <c r="B38" s="4" t="s">
        <v>29</v>
      </c>
      <c r="C38" s="4" t="s">
        <v>61</v>
      </c>
      <c r="D38" s="6" t="s">
        <v>19</v>
      </c>
      <c r="E38" s="4">
        <v>1.02</v>
      </c>
      <c r="F38" s="7">
        <f>(17.7*29.7+2.7*11.7)*0.12*E38</f>
        <v>68.211072000000001</v>
      </c>
      <c r="G38" s="4"/>
      <c r="H38" s="7"/>
      <c r="I38" s="4"/>
      <c r="J38" s="7"/>
      <c r="K38" s="7"/>
      <c r="L38" s="36"/>
      <c r="M38" s="2"/>
    </row>
    <row r="39" spans="1:13" ht="33" x14ac:dyDescent="0.25">
      <c r="A39" s="4">
        <v>3.3</v>
      </c>
      <c r="B39" s="4"/>
      <c r="C39" s="9" t="s">
        <v>62</v>
      </c>
      <c r="D39" s="11" t="s">
        <v>22</v>
      </c>
      <c r="E39" s="9"/>
      <c r="F39" s="9">
        <f>18*30+3*12</f>
        <v>576</v>
      </c>
      <c r="G39" s="9"/>
      <c r="H39" s="7"/>
      <c r="I39" s="9"/>
      <c r="J39" s="7"/>
      <c r="K39" s="7"/>
      <c r="L39" s="2"/>
      <c r="M39" s="36">
        <f>K39+K40</f>
        <v>0</v>
      </c>
    </row>
    <row r="40" spans="1:13" ht="33" x14ac:dyDescent="0.25">
      <c r="A40" s="4"/>
      <c r="B40" s="12" t="s">
        <v>63</v>
      </c>
      <c r="C40" s="13" t="s">
        <v>64</v>
      </c>
      <c r="D40" s="11" t="s">
        <v>22</v>
      </c>
      <c r="E40" s="9">
        <v>1.05</v>
      </c>
      <c r="F40" s="9">
        <f>F39*E40</f>
        <v>604.80000000000007</v>
      </c>
      <c r="G40" s="9"/>
      <c r="H40" s="7"/>
      <c r="I40" s="9"/>
      <c r="J40" s="7"/>
      <c r="K40" s="7"/>
      <c r="L40" s="2"/>
      <c r="M40" s="37"/>
    </row>
    <row r="41" spans="1:13" ht="82.5" x14ac:dyDescent="0.25">
      <c r="A41" s="4">
        <v>4.0999999999999996</v>
      </c>
      <c r="B41" s="4"/>
      <c r="C41" s="14" t="s">
        <v>65</v>
      </c>
      <c r="D41" s="11" t="s">
        <v>17</v>
      </c>
      <c r="E41" s="9"/>
      <c r="F41" s="9">
        <v>12</v>
      </c>
      <c r="G41" s="9"/>
      <c r="H41" s="7"/>
      <c r="I41" s="9"/>
      <c r="J41" s="7"/>
      <c r="K41" s="7"/>
      <c r="L41" s="36">
        <f>K41+K42+K43+K44+K45+K46+K47+K48+K49+K50+K51+K52+K53</f>
        <v>0</v>
      </c>
      <c r="M41" s="2"/>
    </row>
    <row r="42" spans="1:13" ht="33" x14ac:dyDescent="0.25">
      <c r="A42" s="4"/>
      <c r="B42" s="4" t="s">
        <v>48</v>
      </c>
      <c r="C42" s="9" t="s">
        <v>66</v>
      </c>
      <c r="D42" s="11" t="s">
        <v>17</v>
      </c>
      <c r="E42" s="9">
        <v>1.05</v>
      </c>
      <c r="F42" s="35">
        <f>(13*(0.75+0.65+0.75)+2*5*2)*E42</f>
        <v>50.347500000000004</v>
      </c>
      <c r="G42" s="9"/>
      <c r="H42" s="7"/>
      <c r="I42" s="9"/>
      <c r="J42" s="7"/>
      <c r="K42" s="7"/>
      <c r="L42" s="36"/>
      <c r="M42" s="2"/>
    </row>
    <row r="43" spans="1:13" ht="33" x14ac:dyDescent="0.25">
      <c r="A43" s="4"/>
      <c r="B43" s="4" t="s">
        <v>67</v>
      </c>
      <c r="C43" s="9" t="s">
        <v>68</v>
      </c>
      <c r="D43" s="11" t="s">
        <v>17</v>
      </c>
      <c r="E43" s="9">
        <v>1.05</v>
      </c>
      <c r="F43" s="9">
        <f>(2+2+2)*12*E43</f>
        <v>75.600000000000009</v>
      </c>
      <c r="G43" s="9"/>
      <c r="H43" s="7"/>
      <c r="I43" s="9"/>
      <c r="J43" s="7"/>
      <c r="K43" s="7"/>
      <c r="L43" s="36"/>
      <c r="M43" s="2"/>
    </row>
    <row r="44" spans="1:13" ht="33" x14ac:dyDescent="0.25">
      <c r="A44" s="4"/>
      <c r="B44" s="4" t="s">
        <v>69</v>
      </c>
      <c r="C44" s="9" t="s">
        <v>70</v>
      </c>
      <c r="D44" s="11" t="s">
        <v>17</v>
      </c>
      <c r="E44" s="9">
        <v>1.05</v>
      </c>
      <c r="F44" s="9">
        <f>0.3*21*2*2*E44</f>
        <v>26.46</v>
      </c>
      <c r="G44" s="9"/>
      <c r="H44" s="7"/>
      <c r="I44" s="9"/>
      <c r="J44" s="7"/>
      <c r="K44" s="7"/>
      <c r="L44" s="36"/>
      <c r="M44" s="2"/>
    </row>
    <row r="45" spans="1:13" ht="33" x14ac:dyDescent="0.25">
      <c r="A45" s="4"/>
      <c r="B45" s="4" t="s">
        <v>71</v>
      </c>
      <c r="C45" s="9" t="s">
        <v>72</v>
      </c>
      <c r="D45" s="11" t="s">
        <v>17</v>
      </c>
      <c r="E45" s="9">
        <v>1.05</v>
      </c>
      <c r="F45" s="35">
        <f>(0.03+0.35+0.03)*5*2+(0.5*0.75*3)*E45</f>
        <v>5.2812500000000009</v>
      </c>
      <c r="G45" s="9"/>
      <c r="H45" s="7"/>
      <c r="I45" s="9"/>
      <c r="J45" s="7"/>
      <c r="K45" s="7"/>
      <c r="L45" s="36"/>
      <c r="M45" s="2"/>
    </row>
    <row r="46" spans="1:13" ht="33" x14ac:dyDescent="0.25">
      <c r="A46" s="47"/>
      <c r="B46" s="47" t="s">
        <v>29</v>
      </c>
      <c r="C46" s="9" t="s">
        <v>73</v>
      </c>
      <c r="D46" s="11" t="s">
        <v>17</v>
      </c>
      <c r="E46" s="9"/>
      <c r="F46" s="9">
        <f>5*4*2*2</f>
        <v>80</v>
      </c>
      <c r="G46" s="9"/>
      <c r="H46" s="7"/>
      <c r="I46" s="9"/>
      <c r="J46" s="7"/>
      <c r="K46" s="7"/>
      <c r="L46" s="36"/>
      <c r="M46" s="2"/>
    </row>
    <row r="47" spans="1:13" x14ac:dyDescent="0.25">
      <c r="A47" s="48"/>
      <c r="B47" s="48"/>
      <c r="C47" s="9" t="s">
        <v>74</v>
      </c>
      <c r="D47" s="11" t="s">
        <v>19</v>
      </c>
      <c r="E47" s="9"/>
      <c r="F47" s="34">
        <f>0.06*0.04*5*4*2*2</f>
        <v>0.19199999999999998</v>
      </c>
      <c r="G47" s="9"/>
      <c r="H47" s="7"/>
      <c r="I47" s="9"/>
      <c r="J47" s="7"/>
      <c r="K47" s="7"/>
      <c r="L47" s="36"/>
      <c r="M47" s="2"/>
    </row>
    <row r="48" spans="1:13" x14ac:dyDescent="0.25">
      <c r="A48" s="15"/>
      <c r="B48" s="15"/>
      <c r="C48" s="9" t="s">
        <v>75</v>
      </c>
      <c r="D48" s="11" t="s">
        <v>32</v>
      </c>
      <c r="E48" s="9"/>
      <c r="F48" s="9">
        <f>6*4*2*2</f>
        <v>96</v>
      </c>
      <c r="G48" s="9"/>
      <c r="H48" s="7"/>
      <c r="I48" s="9"/>
      <c r="J48" s="7"/>
      <c r="K48" s="7"/>
      <c r="L48" s="36"/>
      <c r="M48" s="2"/>
    </row>
    <row r="49" spans="1:13" x14ac:dyDescent="0.25">
      <c r="A49" s="15"/>
      <c r="B49" s="4" t="s">
        <v>52</v>
      </c>
      <c r="C49" s="4" t="s">
        <v>53</v>
      </c>
      <c r="D49" s="6" t="s">
        <v>27</v>
      </c>
      <c r="E49" s="4"/>
      <c r="F49" s="4">
        <v>15</v>
      </c>
      <c r="G49" s="4"/>
      <c r="H49" s="7"/>
      <c r="I49" s="9"/>
      <c r="J49" s="7"/>
      <c r="K49" s="7"/>
      <c r="L49" s="36"/>
      <c r="M49" s="2"/>
    </row>
    <row r="50" spans="1:13" ht="99" x14ac:dyDescent="0.25">
      <c r="A50" s="15">
        <v>4.2</v>
      </c>
      <c r="B50" s="15"/>
      <c r="C50" s="4" t="s">
        <v>76</v>
      </c>
      <c r="D50" s="6"/>
      <c r="E50" s="4"/>
      <c r="F50" s="7">
        <f>(0.04+0.08)*2*47.95 +(0.02+0.02)*2*72 +(0.02+0.03)*2*25.2 +5.225*2</f>
        <v>30.238</v>
      </c>
      <c r="G50" s="4"/>
      <c r="H50" s="7"/>
      <c r="I50" s="9"/>
      <c r="J50" s="7"/>
      <c r="K50" s="7"/>
      <c r="L50" s="36"/>
      <c r="M50" s="2"/>
    </row>
    <row r="51" spans="1:13" x14ac:dyDescent="0.25">
      <c r="A51" s="15"/>
      <c r="B51" s="15" t="s">
        <v>55</v>
      </c>
      <c r="C51" s="4" t="s">
        <v>56</v>
      </c>
      <c r="D51" s="6" t="s">
        <v>27</v>
      </c>
      <c r="E51" s="4">
        <v>0.32</v>
      </c>
      <c r="F51" s="7">
        <f>F50*E51</f>
        <v>9.6761599999999994</v>
      </c>
      <c r="G51" s="4"/>
      <c r="H51" s="7"/>
      <c r="I51" s="9"/>
      <c r="J51" s="7"/>
      <c r="K51" s="7"/>
      <c r="L51" s="36"/>
      <c r="M51" s="2"/>
    </row>
    <row r="52" spans="1:13" ht="49.5" x14ac:dyDescent="0.25">
      <c r="A52" s="15">
        <v>4.3</v>
      </c>
      <c r="B52" s="15"/>
      <c r="C52" s="9" t="s">
        <v>77</v>
      </c>
      <c r="D52" s="11" t="s">
        <v>22</v>
      </c>
      <c r="E52" s="9"/>
      <c r="F52" s="9">
        <f>(0.04+0.06)*2*F46</f>
        <v>16</v>
      </c>
      <c r="G52" s="9"/>
      <c r="H52" s="7"/>
      <c r="I52" s="9"/>
      <c r="J52" s="7"/>
      <c r="K52" s="7"/>
      <c r="L52" s="36"/>
      <c r="M52" s="2"/>
    </row>
    <row r="53" spans="1:13" x14ac:dyDescent="0.25">
      <c r="A53" s="15"/>
      <c r="B53" s="15" t="s">
        <v>78</v>
      </c>
      <c r="C53" s="9" t="s">
        <v>79</v>
      </c>
      <c r="D53" s="11" t="s">
        <v>27</v>
      </c>
      <c r="E53" s="9">
        <v>0.35</v>
      </c>
      <c r="F53" s="9">
        <f>F52*E53</f>
        <v>5.6</v>
      </c>
      <c r="G53" s="9"/>
      <c r="H53" s="7"/>
      <c r="I53" s="9"/>
      <c r="J53" s="7"/>
      <c r="K53" s="7"/>
      <c r="L53" s="36"/>
      <c r="M53" s="2"/>
    </row>
    <row r="54" spans="1:13" ht="33" x14ac:dyDescent="0.25">
      <c r="A54" s="4">
        <v>5</v>
      </c>
      <c r="B54" s="4"/>
      <c r="C54" s="9" t="s">
        <v>80</v>
      </c>
      <c r="D54" s="11" t="s">
        <v>81</v>
      </c>
      <c r="E54" s="9"/>
      <c r="F54" s="9">
        <v>1</v>
      </c>
      <c r="G54" s="9"/>
      <c r="H54" s="7"/>
      <c r="I54" s="9"/>
      <c r="J54" s="7"/>
      <c r="K54" s="7"/>
      <c r="L54" s="2"/>
      <c r="M54" s="36">
        <f>K54+K55+K56+K57</f>
        <v>0</v>
      </c>
    </row>
    <row r="55" spans="1:13" ht="49.5" x14ac:dyDescent="0.25">
      <c r="A55" s="4">
        <v>6</v>
      </c>
      <c r="B55" s="12" t="s">
        <v>82</v>
      </c>
      <c r="C55" s="9" t="s">
        <v>83</v>
      </c>
      <c r="D55" s="11" t="s">
        <v>84</v>
      </c>
      <c r="E55" s="9"/>
      <c r="F55" s="9">
        <v>2</v>
      </c>
      <c r="G55" s="9"/>
      <c r="H55" s="7"/>
      <c r="I55" s="9"/>
      <c r="J55" s="7"/>
      <c r="K55" s="7"/>
      <c r="L55" s="2"/>
      <c r="M55" s="37"/>
    </row>
    <row r="56" spans="1:13" ht="49.5" x14ac:dyDescent="0.25">
      <c r="A56" s="4">
        <v>7</v>
      </c>
      <c r="B56" s="12" t="s">
        <v>82</v>
      </c>
      <c r="C56" s="9" t="s">
        <v>85</v>
      </c>
      <c r="D56" s="11" t="s">
        <v>84</v>
      </c>
      <c r="E56" s="9"/>
      <c r="F56" s="9">
        <v>2</v>
      </c>
      <c r="G56" s="9"/>
      <c r="H56" s="7"/>
      <c r="I56" s="9"/>
      <c r="J56" s="7"/>
      <c r="K56" s="7"/>
      <c r="L56" s="2"/>
      <c r="M56" s="37"/>
    </row>
    <row r="57" spans="1:13" ht="40.5" x14ac:dyDescent="0.25">
      <c r="A57" s="4">
        <v>8</v>
      </c>
      <c r="B57" s="12" t="s">
        <v>82</v>
      </c>
      <c r="C57" s="9" t="s">
        <v>86</v>
      </c>
      <c r="D57" s="11" t="s">
        <v>32</v>
      </c>
      <c r="E57" s="9"/>
      <c r="F57" s="9">
        <v>1</v>
      </c>
      <c r="G57" s="9"/>
      <c r="H57" s="7"/>
      <c r="I57" s="9"/>
      <c r="J57" s="7"/>
      <c r="K57" s="7"/>
      <c r="L57" s="2"/>
      <c r="M57" s="37"/>
    </row>
    <row r="58" spans="1:13" ht="33" x14ac:dyDescent="0.25">
      <c r="A58" s="4">
        <v>9</v>
      </c>
      <c r="B58" s="4"/>
      <c r="C58" s="9" t="s">
        <v>87</v>
      </c>
      <c r="D58" s="11"/>
      <c r="E58" s="9"/>
      <c r="F58" s="9"/>
      <c r="G58" s="9"/>
      <c r="H58" s="7"/>
      <c r="I58" s="9"/>
      <c r="J58" s="7"/>
      <c r="K58" s="7"/>
      <c r="L58" s="36">
        <f>K58+K59+K60+K61+K62+K63+K64+K65+K66+K67+K68+K69+K70+K71+K72+K73+K74+K75+K76+K77+K78</f>
        <v>0</v>
      </c>
      <c r="M58" s="2"/>
    </row>
    <row r="59" spans="1:13" ht="33" x14ac:dyDescent="0.25">
      <c r="A59" s="4"/>
      <c r="B59" s="4"/>
      <c r="C59" s="9" t="s">
        <v>88</v>
      </c>
      <c r="D59" s="16" t="s">
        <v>32</v>
      </c>
      <c r="E59" s="9"/>
      <c r="F59" s="9">
        <v>4</v>
      </c>
      <c r="G59" s="9"/>
      <c r="H59" s="7"/>
      <c r="I59" s="9"/>
      <c r="J59" s="7"/>
      <c r="K59" s="7"/>
      <c r="L59" s="37"/>
      <c r="M59" s="2"/>
    </row>
    <row r="60" spans="1:13" ht="49.5" x14ac:dyDescent="0.25">
      <c r="A60" s="4"/>
      <c r="B60" s="4"/>
      <c r="C60" s="9" t="s">
        <v>89</v>
      </c>
      <c r="D60" s="16" t="s">
        <v>32</v>
      </c>
      <c r="E60" s="9"/>
      <c r="F60" s="9">
        <f>F59</f>
        <v>4</v>
      </c>
      <c r="G60" s="9"/>
      <c r="H60" s="7"/>
      <c r="I60" s="9"/>
      <c r="J60" s="7"/>
      <c r="K60" s="7"/>
      <c r="L60" s="37"/>
      <c r="M60" s="2"/>
    </row>
    <row r="61" spans="1:13" ht="33" x14ac:dyDescent="0.25">
      <c r="A61" s="4"/>
      <c r="B61" s="4"/>
      <c r="C61" s="9" t="s">
        <v>90</v>
      </c>
      <c r="D61" s="16"/>
      <c r="E61" s="9"/>
      <c r="F61" s="9">
        <f>(0.5+0.5)*2*1*F59</f>
        <v>8</v>
      </c>
      <c r="G61" s="9"/>
      <c r="H61" s="7"/>
      <c r="I61" s="9"/>
      <c r="J61" s="7"/>
      <c r="K61" s="7"/>
      <c r="L61" s="37"/>
      <c r="M61" s="2"/>
    </row>
    <row r="62" spans="1:13" x14ac:dyDescent="0.25">
      <c r="A62" s="4"/>
      <c r="B62" s="4" t="s">
        <v>23</v>
      </c>
      <c r="C62" s="9" t="s">
        <v>24</v>
      </c>
      <c r="D62" s="16" t="s">
        <v>19</v>
      </c>
      <c r="E62" s="9">
        <v>4.7E-2</v>
      </c>
      <c r="F62" s="9">
        <f>F61*E62</f>
        <v>0.376</v>
      </c>
      <c r="G62" s="9"/>
      <c r="H62" s="7"/>
      <c r="I62" s="9"/>
      <c r="J62" s="7"/>
      <c r="K62" s="7"/>
      <c r="L62" s="37"/>
      <c r="M62" s="2"/>
    </row>
    <row r="63" spans="1:13" x14ac:dyDescent="0.25">
      <c r="A63" s="4"/>
      <c r="B63" s="4" t="s">
        <v>25</v>
      </c>
      <c r="C63" s="9" t="s">
        <v>26</v>
      </c>
      <c r="D63" s="16" t="s">
        <v>27</v>
      </c>
      <c r="E63" s="9">
        <v>0.222</v>
      </c>
      <c r="F63" s="9">
        <f>F61*E63</f>
        <v>1.776</v>
      </c>
      <c r="G63" s="9"/>
      <c r="H63" s="7"/>
      <c r="I63" s="9"/>
      <c r="J63" s="7"/>
      <c r="K63" s="7"/>
      <c r="L63" s="37"/>
      <c r="M63" s="2"/>
    </row>
    <row r="64" spans="1:13" ht="33" x14ac:dyDescent="0.25">
      <c r="A64" s="4"/>
      <c r="B64" s="4" t="s">
        <v>29</v>
      </c>
      <c r="C64" s="9" t="s">
        <v>91</v>
      </c>
      <c r="D64" s="16" t="s">
        <v>19</v>
      </c>
      <c r="E64" s="9">
        <v>1.02</v>
      </c>
      <c r="F64" s="9">
        <f>0.5*0.5*1*F59*E64</f>
        <v>1.02</v>
      </c>
      <c r="G64" s="9"/>
      <c r="H64" s="7"/>
      <c r="I64" s="9"/>
      <c r="J64" s="7"/>
      <c r="K64" s="7"/>
      <c r="L64" s="37"/>
      <c r="M64" s="2"/>
    </row>
    <row r="65" spans="1:15" x14ac:dyDescent="0.25">
      <c r="A65" s="4"/>
      <c r="B65" s="4"/>
      <c r="C65" s="9" t="s">
        <v>92</v>
      </c>
      <c r="D65" s="16" t="s">
        <v>32</v>
      </c>
      <c r="E65" s="9"/>
      <c r="F65" s="9">
        <f>F59</f>
        <v>4</v>
      </c>
      <c r="G65" s="9"/>
      <c r="H65" s="7"/>
      <c r="I65" s="9"/>
      <c r="J65" s="7"/>
      <c r="K65" s="7"/>
      <c r="L65" s="37"/>
      <c r="M65" s="2"/>
    </row>
    <row r="66" spans="1:15" ht="33" x14ac:dyDescent="0.25">
      <c r="A66" s="4"/>
      <c r="B66" s="4" t="s">
        <v>93</v>
      </c>
      <c r="C66" s="9" t="s">
        <v>94</v>
      </c>
      <c r="D66" s="16" t="s">
        <v>17</v>
      </c>
      <c r="E66" s="9"/>
      <c r="F66" s="9">
        <f>(4.5+1)*F59</f>
        <v>22</v>
      </c>
      <c r="G66" s="9"/>
      <c r="H66" s="7"/>
      <c r="I66" s="9"/>
      <c r="J66" s="7"/>
      <c r="K66" s="7"/>
      <c r="L66" s="37"/>
      <c r="M66" s="2"/>
    </row>
    <row r="67" spans="1:15" ht="49.5" x14ac:dyDescent="0.25">
      <c r="A67" s="4"/>
      <c r="B67" s="4"/>
      <c r="C67" s="4" t="s">
        <v>95</v>
      </c>
      <c r="D67" s="17" t="s">
        <v>84</v>
      </c>
      <c r="E67" s="9"/>
      <c r="F67" s="9">
        <v>4</v>
      </c>
      <c r="G67" s="9"/>
      <c r="H67" s="7"/>
      <c r="I67" s="9"/>
      <c r="J67" s="7"/>
      <c r="K67" s="7"/>
      <c r="L67" s="37"/>
      <c r="M67" s="2"/>
    </row>
    <row r="68" spans="1:15" x14ac:dyDescent="0.25">
      <c r="A68" s="4"/>
      <c r="B68" s="4"/>
      <c r="C68" s="4" t="s">
        <v>96</v>
      </c>
      <c r="D68" s="17"/>
      <c r="E68" s="4"/>
      <c r="F68" s="9"/>
      <c r="G68" s="9"/>
      <c r="H68" s="7"/>
      <c r="I68" s="9"/>
      <c r="J68" s="7"/>
      <c r="K68" s="7"/>
      <c r="L68" s="37"/>
      <c r="M68" s="2"/>
    </row>
    <row r="69" spans="1:15" ht="33" x14ac:dyDescent="0.25">
      <c r="A69" s="4">
        <v>10</v>
      </c>
      <c r="B69" s="4"/>
      <c r="C69" s="4" t="s">
        <v>97</v>
      </c>
      <c r="D69" s="17" t="s">
        <v>32</v>
      </c>
      <c r="E69" s="4"/>
      <c r="F69" s="9">
        <f>F67*2</f>
        <v>8</v>
      </c>
      <c r="G69" s="9"/>
      <c r="H69" s="7"/>
      <c r="I69" s="9"/>
      <c r="J69" s="7"/>
      <c r="K69" s="7"/>
      <c r="L69" s="37"/>
      <c r="M69" s="2"/>
    </row>
    <row r="70" spans="1:15" x14ac:dyDescent="0.25">
      <c r="A70" s="4"/>
      <c r="B70" s="4"/>
      <c r="C70" s="4" t="s">
        <v>98</v>
      </c>
      <c r="D70" s="17" t="s">
        <v>32</v>
      </c>
      <c r="E70" s="4"/>
      <c r="F70" s="9">
        <f>F67</f>
        <v>4</v>
      </c>
      <c r="G70" s="9"/>
      <c r="H70" s="7"/>
      <c r="I70" s="9"/>
      <c r="J70" s="7"/>
      <c r="K70" s="7"/>
      <c r="L70" s="37"/>
      <c r="M70" s="2"/>
    </row>
    <row r="71" spans="1:15" x14ac:dyDescent="0.25">
      <c r="A71" s="4"/>
      <c r="B71" s="4"/>
      <c r="C71" s="4" t="s">
        <v>99</v>
      </c>
      <c r="D71" s="17" t="s">
        <v>32</v>
      </c>
      <c r="E71" s="4"/>
      <c r="F71" s="9">
        <f>F67</f>
        <v>4</v>
      </c>
      <c r="G71" s="9"/>
      <c r="H71" s="7"/>
      <c r="I71" s="9"/>
      <c r="J71" s="7"/>
      <c r="K71" s="7"/>
      <c r="L71" s="37"/>
      <c r="M71" s="2"/>
    </row>
    <row r="72" spans="1:15" x14ac:dyDescent="0.25">
      <c r="A72" s="4"/>
      <c r="B72" s="4"/>
      <c r="C72" s="4" t="s">
        <v>100</v>
      </c>
      <c r="D72" s="17" t="s">
        <v>17</v>
      </c>
      <c r="E72" s="4"/>
      <c r="F72" s="9">
        <v>150</v>
      </c>
      <c r="G72" s="9"/>
      <c r="H72" s="7"/>
      <c r="I72" s="9"/>
      <c r="J72" s="7"/>
      <c r="K72" s="7"/>
      <c r="L72" s="37"/>
      <c r="M72" s="2"/>
    </row>
    <row r="73" spans="1:15" x14ac:dyDescent="0.25">
      <c r="A73" s="4"/>
      <c r="B73" s="4"/>
      <c r="C73" s="4" t="s">
        <v>101</v>
      </c>
      <c r="D73" s="17" t="s">
        <v>32</v>
      </c>
      <c r="E73" s="4"/>
      <c r="F73" s="9">
        <f>F67</f>
        <v>4</v>
      </c>
      <c r="G73" s="9"/>
      <c r="H73" s="7"/>
      <c r="I73" s="9"/>
      <c r="J73" s="7"/>
      <c r="K73" s="7"/>
      <c r="L73" s="37"/>
      <c r="M73" s="2"/>
    </row>
    <row r="74" spans="1:15" x14ac:dyDescent="0.25">
      <c r="A74" s="4"/>
      <c r="B74" s="4"/>
      <c r="C74" s="4" t="s">
        <v>102</v>
      </c>
      <c r="D74" s="17" t="s">
        <v>17</v>
      </c>
      <c r="E74" s="4"/>
      <c r="F74" s="9">
        <f>F67*2</f>
        <v>8</v>
      </c>
      <c r="G74" s="9"/>
      <c r="H74" s="7"/>
      <c r="I74" s="9"/>
      <c r="J74" s="7"/>
      <c r="K74" s="7"/>
      <c r="L74" s="37"/>
      <c r="M74" s="2"/>
    </row>
    <row r="75" spans="1:15" x14ac:dyDescent="0.25">
      <c r="A75" s="4"/>
      <c r="B75" s="4"/>
      <c r="C75" s="4" t="s">
        <v>103</v>
      </c>
      <c r="D75" s="17" t="s">
        <v>32</v>
      </c>
      <c r="E75" s="4"/>
      <c r="F75" s="9">
        <v>1</v>
      </c>
      <c r="G75" s="9"/>
      <c r="H75" s="7"/>
      <c r="I75" s="9"/>
      <c r="J75" s="7"/>
      <c r="K75" s="7"/>
      <c r="L75" s="37"/>
      <c r="M75" s="2"/>
    </row>
    <row r="76" spans="1:15" x14ac:dyDescent="0.25">
      <c r="A76" s="4"/>
      <c r="B76" s="4"/>
      <c r="C76" s="4" t="s">
        <v>104</v>
      </c>
      <c r="D76" s="17" t="s">
        <v>32</v>
      </c>
      <c r="E76" s="4"/>
      <c r="F76" s="9">
        <v>1</v>
      </c>
      <c r="G76" s="9"/>
      <c r="H76" s="7"/>
      <c r="I76" s="9"/>
      <c r="J76" s="7"/>
      <c r="K76" s="7"/>
      <c r="L76" s="37"/>
      <c r="M76" s="2"/>
    </row>
    <row r="77" spans="1:15" x14ac:dyDescent="0.25">
      <c r="A77" s="4">
        <v>11</v>
      </c>
      <c r="B77" s="4"/>
      <c r="C77" s="4" t="s">
        <v>105</v>
      </c>
      <c r="D77" s="17" t="s">
        <v>106</v>
      </c>
      <c r="E77" s="4"/>
      <c r="F77" s="9">
        <v>1</v>
      </c>
      <c r="G77" s="9"/>
      <c r="H77" s="7"/>
      <c r="I77" s="9"/>
      <c r="J77" s="7"/>
      <c r="K77" s="7"/>
      <c r="L77" s="37"/>
      <c r="M77" s="2"/>
    </row>
    <row r="78" spans="1:15" x14ac:dyDescent="0.25">
      <c r="A78" s="4"/>
      <c r="B78" s="4"/>
      <c r="C78" s="4"/>
      <c r="D78" s="18"/>
      <c r="E78" s="4"/>
      <c r="F78" s="4"/>
      <c r="G78" s="4"/>
      <c r="H78" s="7"/>
      <c r="I78" s="9"/>
      <c r="J78" s="7"/>
      <c r="K78" s="7"/>
      <c r="L78" s="37"/>
      <c r="M78" s="2"/>
    </row>
    <row r="79" spans="1:15" x14ac:dyDescent="0.25">
      <c r="A79" s="19"/>
      <c r="B79" s="19"/>
      <c r="C79" s="19" t="s">
        <v>107</v>
      </c>
      <c r="D79" s="19"/>
      <c r="E79" s="19"/>
      <c r="F79" s="19"/>
      <c r="G79" s="19"/>
      <c r="H79" s="20"/>
      <c r="I79" s="20"/>
      <c r="J79" s="20"/>
      <c r="K79" s="20"/>
      <c r="L79" s="38">
        <f>M8+L17+M33+L35+M39+L41+M54+L58</f>
        <v>0</v>
      </c>
      <c r="M79" s="38"/>
      <c r="N79" s="4"/>
      <c r="O79" s="4"/>
    </row>
    <row r="80" spans="1:15" ht="33" x14ac:dyDescent="0.25">
      <c r="A80" s="4"/>
      <c r="B80" s="4"/>
      <c r="C80" s="4" t="s">
        <v>108</v>
      </c>
      <c r="D80" s="4"/>
      <c r="E80" s="4"/>
      <c r="F80" s="21" t="s">
        <v>115</v>
      </c>
      <c r="G80" s="4"/>
      <c r="H80" s="4"/>
      <c r="I80" s="4"/>
      <c r="J80" s="7"/>
      <c r="K80" s="7"/>
      <c r="L80" s="39">
        <f>L17</f>
        <v>0</v>
      </c>
      <c r="M80" s="40"/>
      <c r="N80" s="5" t="s">
        <v>109</v>
      </c>
      <c r="O80" s="22">
        <f>(L80+(H17+H18+H19+H20+H21+H22+H23+H24+H25+H26+H27+H28+H29+H30+H31+H32)*0.04)*1.08*1.06+1274.48</f>
        <v>1274.48</v>
      </c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7"/>
      <c r="K81" s="7"/>
      <c r="L81" s="41">
        <f>L79-L80</f>
        <v>0</v>
      </c>
      <c r="M81" s="42"/>
      <c r="N81" s="23" t="s">
        <v>110</v>
      </c>
      <c r="O81" s="24">
        <f>(L81+(H79-(H17+H18+H19+H20+H21+H22+H23+H24+H25+H26+H27+H28+H29+H30+H31+H32))*0.04)*1.08*1.06</f>
        <v>0</v>
      </c>
    </row>
    <row r="82" spans="1:15" x14ac:dyDescent="0.25">
      <c r="A82" s="4"/>
      <c r="B82" s="4"/>
      <c r="C82" s="4" t="s">
        <v>111</v>
      </c>
      <c r="D82" s="4"/>
      <c r="E82" s="4"/>
      <c r="F82" s="21" t="s">
        <v>115</v>
      </c>
      <c r="G82" s="4"/>
      <c r="H82" s="4"/>
      <c r="I82" s="4"/>
      <c r="J82" s="7"/>
      <c r="K82" s="7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7"/>
      <c r="K83" s="7"/>
      <c r="O83" s="25">
        <f>O80+O81</f>
        <v>1274.48</v>
      </c>
    </row>
    <row r="84" spans="1:15" x14ac:dyDescent="0.25">
      <c r="A84" s="4"/>
      <c r="B84" s="4"/>
      <c r="C84" s="4" t="s">
        <v>112</v>
      </c>
      <c r="D84" s="4"/>
      <c r="E84" s="4"/>
      <c r="F84" s="21" t="s">
        <v>115</v>
      </c>
      <c r="G84" s="4"/>
      <c r="H84" s="4"/>
      <c r="I84" s="4"/>
      <c r="J84" s="7"/>
      <c r="K84" s="7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7"/>
      <c r="K85" s="33"/>
      <c r="L85" s="2"/>
      <c r="M85" s="2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</row>
    <row r="87" spans="1:15" x14ac:dyDescent="0.25">
      <c r="A87" s="4"/>
      <c r="B87" s="4"/>
      <c r="C87" s="4" t="s">
        <v>113</v>
      </c>
      <c r="D87" s="4"/>
      <c r="E87" s="4"/>
      <c r="F87" s="26">
        <v>0</v>
      </c>
      <c r="G87" s="4"/>
      <c r="H87" s="4"/>
      <c r="I87" s="4"/>
      <c r="J87" s="7"/>
      <c r="K87" s="7"/>
    </row>
    <row r="88" spans="1:15" x14ac:dyDescent="0.25">
      <c r="A88" s="27"/>
      <c r="B88" s="27"/>
      <c r="C88" s="28" t="s">
        <v>114</v>
      </c>
      <c r="D88" s="27"/>
      <c r="E88" s="27"/>
      <c r="F88" s="27"/>
      <c r="G88" s="27"/>
      <c r="H88" s="27"/>
      <c r="I88" s="27"/>
      <c r="J88" s="29"/>
      <c r="K88" s="30"/>
    </row>
    <row r="91" spans="1:15" x14ac:dyDescent="0.25">
      <c r="C91" s="2" t="s">
        <v>116</v>
      </c>
      <c r="D91" s="43"/>
      <c r="E91" s="43"/>
      <c r="F91" s="43"/>
      <c r="G91" s="43"/>
      <c r="H91" s="43"/>
      <c r="I91" s="43"/>
      <c r="J91" s="43"/>
      <c r="K91" s="43"/>
    </row>
    <row r="93" spans="1:15" ht="25.5" x14ac:dyDescent="0.25">
      <c r="C93" s="31"/>
    </row>
    <row r="94" spans="1:15" x14ac:dyDescent="0.25">
      <c r="C94" s="3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</sheetData>
  <mergeCells count="27">
    <mergeCell ref="A1:K1"/>
    <mergeCell ref="A3:K3"/>
    <mergeCell ref="A5:A6"/>
    <mergeCell ref="B5:B6"/>
    <mergeCell ref="C5:C6"/>
    <mergeCell ref="D5:D6"/>
    <mergeCell ref="E5:E6"/>
    <mergeCell ref="F5:F6"/>
    <mergeCell ref="G5:H5"/>
    <mergeCell ref="I5:J5"/>
    <mergeCell ref="M54:M57"/>
    <mergeCell ref="K5:K6"/>
    <mergeCell ref="M8:M16"/>
    <mergeCell ref="A11:A12"/>
    <mergeCell ref="B11:B12"/>
    <mergeCell ref="L17:L32"/>
    <mergeCell ref="M33:M34"/>
    <mergeCell ref="L35:L38"/>
    <mergeCell ref="M39:M40"/>
    <mergeCell ref="L41:L53"/>
    <mergeCell ref="A46:A47"/>
    <mergeCell ref="B46:B47"/>
    <mergeCell ref="L58:L78"/>
    <mergeCell ref="L79:M79"/>
    <mergeCell ref="L80:M80"/>
    <mergeCell ref="L81:M81"/>
    <mergeCell ref="D91:K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2017-06-09T11:26:25Z</dcterms:modified>
</cp:coreProperties>
</file>